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ATSUBARA\4.諸検討\中立軸算定式検討\HP掲載\谷川さんへ送付\"/>
    </mc:Choice>
  </mc:AlternateContent>
  <xr:revisionPtr revIDLastSave="0" documentId="13_ncr:1_{CC0FB9B7-B16D-46BD-AC7F-FB645F5A6CE7}" xr6:coauthVersionLast="47" xr6:coauthVersionMax="47" xr10:uidLastSave="{00000000-0000-0000-0000-000000000000}"/>
  <bookViews>
    <workbookView xWindow="1620" yWindow="1620" windowWidth="19695" windowHeight="10905" xr2:uid="{F7EC0523-56CD-49CD-A9F7-122DFDED1C4F}"/>
  </bookViews>
  <sheets>
    <sheet name="Sheet1" sheetId="1" r:id="rId1"/>
    <sheet name="Sheet2" sheetId="2" r:id="rId2"/>
  </sheets>
  <definedNames>
    <definedName name="solver_adj" localSheetId="0" hidden="1">Sheet1!$N$6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Sheet1!$N$6</definedName>
    <definedName name="solver_lhs2" localSheetId="0" hidden="1">Sheet1!$N$6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Sheet1!$N$9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hs1" localSheetId="0" hidden="1">Sheet1!$C$5*10</definedName>
    <definedName name="solver_rhs2" localSheetId="0" hidden="1">-Sheet1!$C$5*10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H6" i="1"/>
  <c r="N3" i="1"/>
  <c r="G10" i="1"/>
  <c r="H10" i="1" s="1"/>
  <c r="F10" i="1"/>
  <c r="G9" i="1"/>
  <c r="I9" i="1" s="1"/>
  <c r="F9" i="1"/>
  <c r="G6" i="1"/>
  <c r="F6" i="1"/>
  <c r="I10" i="1" l="1"/>
  <c r="H9" i="1"/>
  <c r="F15" i="1"/>
  <c r="F16" i="1" s="1"/>
  <c r="G15" i="1"/>
  <c r="G16" i="1" s="1"/>
  <c r="H15" i="1" l="1"/>
  <c r="H16" i="1" s="1"/>
  <c r="N7" i="1" s="1"/>
  <c r="I15" i="1"/>
  <c r="I16" i="1" s="1"/>
  <c r="N8" i="1" s="1"/>
  <c r="N4" i="1"/>
  <c r="K6" i="1" l="1"/>
  <c r="K9" i="1" s="1"/>
  <c r="N9" i="1" l="1"/>
  <c r="K10" i="1"/>
</calcChain>
</file>

<file path=xl/sharedStrings.xml><?xml version="1.0" encoding="utf-8"?>
<sst xmlns="http://schemas.openxmlformats.org/spreadsheetml/2006/main" count="33" uniqueCount="33">
  <si>
    <t>断面高さ h(cm)</t>
    <rPh sb="0" eb="2">
      <t>ダンメン</t>
    </rPh>
    <rPh sb="2" eb="3">
      <t>タカ</t>
    </rPh>
    <phoneticPr fontId="1"/>
  </si>
  <si>
    <t>断面幅 b(cm)</t>
    <rPh sb="0" eb="2">
      <t>ダンメン</t>
    </rPh>
    <rPh sb="2" eb="3">
      <t>ハバ</t>
    </rPh>
    <phoneticPr fontId="1"/>
  </si>
  <si>
    <t>ヤング係数比 n</t>
    <rPh sb="3" eb="5">
      <t>ケイスウ</t>
    </rPh>
    <rPh sb="5" eb="6">
      <t>ヒ</t>
    </rPh>
    <phoneticPr fontId="1"/>
  </si>
  <si>
    <t>曲げモーメント M(kNm)</t>
    <rPh sb="0" eb="1">
      <t>マ</t>
    </rPh>
    <phoneticPr fontId="1"/>
  </si>
  <si>
    <t>軸力 N(kN)</t>
    <rPh sb="0" eb="2">
      <t>ジクリョク</t>
    </rPh>
    <phoneticPr fontId="1"/>
  </si>
  <si>
    <t>偏心距離 e(cm)</t>
    <rPh sb="0" eb="2">
      <t>ヘンシン</t>
    </rPh>
    <rPh sb="2" eb="4">
      <t>キョリ</t>
    </rPh>
    <phoneticPr fontId="1"/>
  </si>
  <si>
    <t>圧縮縁から図心までの距離 yc(cm)</t>
    <rPh sb="0" eb="2">
      <t>アッシュク</t>
    </rPh>
    <rPh sb="2" eb="3">
      <t>エン</t>
    </rPh>
    <rPh sb="5" eb="7">
      <t>ズシン</t>
    </rPh>
    <rPh sb="10" eb="12">
      <t>キョリ</t>
    </rPh>
    <phoneticPr fontId="1"/>
  </si>
  <si>
    <t>断面積
As(cm2)</t>
    <rPh sb="0" eb="3">
      <t>ダンメンセキ</t>
    </rPh>
    <phoneticPr fontId="1"/>
  </si>
  <si>
    <t>被り
c(cm)</t>
    <rPh sb="0" eb="1">
      <t>カブ</t>
    </rPh>
    <phoneticPr fontId="1"/>
  </si>
  <si>
    <t>nAs*c</t>
    <phoneticPr fontId="1"/>
  </si>
  <si>
    <t>bh*h/2</t>
    <phoneticPr fontId="1"/>
  </si>
  <si>
    <t>bh</t>
    <phoneticPr fontId="1"/>
  </si>
  <si>
    <t>nAs</t>
    <phoneticPr fontId="1"/>
  </si>
  <si>
    <t>A(cm2)</t>
    <phoneticPr fontId="1"/>
  </si>
  <si>
    <t>G(cm3)</t>
    <phoneticPr fontId="1"/>
  </si>
  <si>
    <t>I(cm4)</t>
    <phoneticPr fontId="1"/>
  </si>
  <si>
    <t>圧縮縁から中立軸までの距離 x(cm)</t>
    <rPh sb="0" eb="2">
      <t>アッシュク</t>
    </rPh>
    <rPh sb="2" eb="3">
      <t>エン</t>
    </rPh>
    <rPh sb="5" eb="7">
      <t>チュウリツ</t>
    </rPh>
    <rPh sb="7" eb="8">
      <t>ジク</t>
    </rPh>
    <rPh sb="11" eb="13">
      <t>キョリ</t>
    </rPh>
    <phoneticPr fontId="1"/>
  </si>
  <si>
    <t>bx*x/2</t>
    <phoneticPr fontId="1"/>
  </si>
  <si>
    <t>nAs*(x-c)</t>
    <phoneticPr fontId="1"/>
  </si>
  <si>
    <t>nAs*(x-c)^2</t>
    <phoneticPr fontId="1"/>
  </si>
  <si>
    <t>bx^3/3</t>
    <phoneticPr fontId="1"/>
  </si>
  <si>
    <t>A*y</t>
    <phoneticPr fontId="1"/>
  </si>
  <si>
    <t>鉄筋 (番号)</t>
    <rPh sb="0" eb="2">
      <t>テッキン</t>
    </rPh>
    <rPh sb="4" eb="6">
      <t>バンゴウ</t>
    </rPh>
    <phoneticPr fontId="1"/>
  </si>
  <si>
    <t>発生応力(N/mm2)</t>
    <rPh sb="0" eb="2">
      <t>ハッセイ</t>
    </rPh>
    <rPh sb="2" eb="4">
      <t>オウリョク</t>
    </rPh>
    <phoneticPr fontId="1"/>
  </si>
  <si>
    <t>σs=-(x-c)/x*σc*n
(引張正)</t>
    <rPh sb="18" eb="20">
      <t>ヒッパリ</t>
    </rPh>
    <rPh sb="20" eb="21">
      <t>セイ</t>
    </rPh>
    <phoneticPr fontId="1"/>
  </si>
  <si>
    <t>σｃ=(N(x-yc) +M)/I*x(圧縮正)</t>
    <rPh sb="20" eb="22">
      <t>アッシュク</t>
    </rPh>
    <rPh sb="22" eb="23">
      <t>セイ</t>
    </rPh>
    <phoneticPr fontId="1"/>
  </si>
  <si>
    <t>ABS(A-B)</t>
    <phoneticPr fontId="1"/>
  </si>
  <si>
    <t>A=G</t>
    <phoneticPr fontId="1"/>
  </si>
  <si>
    <t>B=I*N/(N*(x-yc)+M)</t>
    <phoneticPr fontId="1"/>
  </si>
  <si>
    <t>修正メモ</t>
    <rPh sb="0" eb="2">
      <t>シュウセイ</t>
    </rPh>
    <phoneticPr fontId="1"/>
  </si>
  <si>
    <t>中立軸が断面外となったときの処理を追加</t>
    <rPh sb="0" eb="2">
      <t>チュウリツ</t>
    </rPh>
    <rPh sb="2" eb="3">
      <t>ジク</t>
    </rPh>
    <rPh sb="4" eb="6">
      <t>ダンメン</t>
    </rPh>
    <rPh sb="6" eb="7">
      <t>ガイ</t>
    </rPh>
    <rPh sb="14" eb="16">
      <t>ショリ</t>
    </rPh>
    <rPh sb="17" eb="19">
      <t>ツイカ</t>
    </rPh>
    <phoneticPr fontId="1"/>
  </si>
  <si>
    <t>変数セル</t>
    <rPh sb="0" eb="2">
      <t>ヘンスウ</t>
    </rPh>
    <phoneticPr fontId="1"/>
  </si>
  <si>
    <t>目標セル</t>
    <rPh sb="0" eb="2">
      <t>モクヒョウ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</si>
</sst>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0"/>
    <numFmt numFmtId="177" formatCode="0.0"/>
    <numFmt numFmtId="178" formatCode="0.0_ "/>
    <numFmt numFmtId="179" formatCode="0.0000000"/>
    <numFmt numFmtId="180" formatCode="0.00000"/>
  </numFmts>
  <fonts count="8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1"/>
      <color rgb="FF0070C0"/>
      <name val="ＭＳ Ｐゴシック"/>
      <family val="3"/>
      <charset val="128"/>
    </font>
    <font>
      <sz val="11"/>
      <name val="ＭＳ Ｐゴシック"/>
      <family val="2"/>
      <charset val="128"/>
    </font>
    <font>
      <b/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78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180" fontId="0" fillId="0" borderId="0" xfId="0" applyNumberFormat="1" applyAlignment="1">
      <alignment horizontal="center" vertical="center"/>
    </xf>
    <xf numFmtId="2" fontId="7" fillId="6" borderId="0" xfId="0" applyNumberFormat="1" applyFont="1" applyFill="1" applyAlignment="1">
      <alignment horizontal="center" vertical="center"/>
    </xf>
    <xf numFmtId="176" fontId="4" fillId="6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1095375</xdr:colOff>
      <xdr:row>13</xdr:row>
      <xdr:rowOff>95251</xdr:rowOff>
    </xdr:from>
    <xdr:to>
      <xdr:col>3</xdr:col>
      <xdr:colOff>609600</xdr:colOff>
      <xdr:row>15</xdr:row>
      <xdr:rowOff>57151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A3B805D-05B6-9F57-DDE0-979113D17790}"/>
            </a:ext>
          </a:extLst>
        </xdr:cNvPr>
        <xdr:cNvSpPr txBox="1"/>
      </xdr:nvSpPr>
      <xdr:spPr>
        <a:xfrm>
          <a:off x="1400175" y="2495551"/>
          <a:ext cx="1809750" cy="30480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被り：圧縮縁からの距離</a:t>
          </a:r>
        </a:p>
      </xdr:txBody>
    </xdr:sp>
    <xdr:clientData/>
  </xdr:twoCellAnchor>
  <xdr:twoCellAnchor>
    <xdr:from>
      <xdr:col>3</xdr:col>
      <xdr:colOff>142875</xdr:colOff>
      <xdr:row>17</xdr:row>
      <xdr:rowOff>130969</xdr:rowOff>
    </xdr:from>
    <xdr:to>
      <xdr:col>12</xdr:col>
      <xdr:colOff>1893094</xdr:colOff>
      <xdr:row>21</xdr:row>
      <xdr:rowOff>71438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97C6441-B347-7CF4-9481-10F7DF8565DD}"/>
            </a:ext>
          </a:extLst>
        </xdr:cNvPr>
        <xdr:cNvSpPr txBox="1"/>
      </xdr:nvSpPr>
      <xdr:spPr>
        <a:xfrm>
          <a:off x="2750344" y="3143250"/>
          <a:ext cx="7941469" cy="60721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本例は「下水道施設耐震計算例</a:t>
          </a:r>
          <a:r>
            <a:rPr kumimoji="1" lang="en-US" altLang="ja-JP" sz="1100"/>
            <a:t>2015</a:t>
          </a:r>
          <a:r>
            <a:rPr kumimoji="1" lang="ja-JP" altLang="en-US" sz="1100"/>
            <a:t>版ー処理場・ポンプ場編ー　日本下水道協会」</a:t>
          </a:r>
          <a:r>
            <a:rPr kumimoji="1" lang="en-US" altLang="ja-JP" sz="1100"/>
            <a:t>p2-53</a:t>
          </a:r>
          <a:r>
            <a:rPr kumimoji="1" lang="ja-JP" altLang="en-US" sz="1100"/>
            <a:t>、表</a:t>
          </a:r>
          <a:r>
            <a:rPr kumimoji="1" lang="en-US" altLang="ja-JP" sz="1100"/>
            <a:t>3-4-1</a:t>
          </a:r>
          <a:r>
            <a:rPr kumimoji="1" lang="ja-JP" altLang="en-US" sz="1100"/>
            <a:t>の例題を対象としている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中立軸位置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、コンクリート応力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σc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、鉄筋応力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圧縮および引張鉄筋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)σs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は、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上記文献の結果と一致している</a:t>
          </a:r>
          <a:endParaRPr lang="ja-JP" altLang="ja-JP">
            <a:effectLst/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16</xdr:col>
      <xdr:colOff>107157</xdr:colOff>
      <xdr:row>3</xdr:row>
      <xdr:rowOff>23812</xdr:rowOff>
    </xdr:from>
    <xdr:to>
      <xdr:col>22</xdr:col>
      <xdr:colOff>428625</xdr:colOff>
      <xdr:row>7</xdr:row>
      <xdr:rowOff>178593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D29473F-2FE3-4F8B-92B9-29389F50E596}"/>
            </a:ext>
          </a:extLst>
        </xdr:cNvPr>
        <xdr:cNvSpPr txBox="1"/>
      </xdr:nvSpPr>
      <xdr:spPr>
        <a:xfrm>
          <a:off x="13811251" y="523875"/>
          <a:ext cx="4464843" cy="821531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変数セル（</a:t>
          </a:r>
          <a:r>
            <a:rPr kumimoji="1" lang="en-US" altLang="ja-JP" sz="1100"/>
            <a:t>x</a:t>
          </a:r>
          <a:r>
            <a:rPr kumimoji="1" lang="ja-JP" altLang="en-US" sz="1100"/>
            <a:t>）の初期値</a:t>
          </a:r>
          <a:endParaRPr kumimoji="1" lang="en-US" altLang="ja-JP" sz="1100"/>
        </a:p>
        <a:p>
          <a:r>
            <a:rPr kumimoji="1" lang="ja-JP" altLang="en-US" sz="1100"/>
            <a:t>・中立軸が断面内あるいは圧縮側の断面外</a:t>
          </a:r>
          <a:r>
            <a:rPr kumimoji="1" lang="en-US" altLang="ja-JP" sz="1100"/>
            <a:t>(</a:t>
          </a:r>
          <a:r>
            <a:rPr kumimoji="1" lang="ja-JP" altLang="en-US" sz="1100"/>
            <a:t>全断面引張</a:t>
          </a:r>
          <a:r>
            <a:rPr kumimoji="1" lang="en-US" altLang="ja-JP" sz="1100"/>
            <a:t>)</a:t>
          </a:r>
          <a:r>
            <a:rPr kumimoji="1" lang="ja-JP" altLang="en-US" sz="1100"/>
            <a:t>のとき：</a:t>
          </a:r>
          <a:r>
            <a:rPr kumimoji="1" lang="en-US" altLang="ja-JP" sz="1100"/>
            <a:t>x=0</a:t>
          </a:r>
        </a:p>
        <a:p>
          <a:r>
            <a:rPr kumimoji="1" lang="ja-JP" altLang="en-US" sz="1100"/>
            <a:t>・中立軸が引張側の断面外</a:t>
          </a:r>
          <a:r>
            <a:rPr kumimoji="1" lang="en-US" altLang="ja-JP" sz="1100"/>
            <a:t>(</a:t>
          </a:r>
          <a:r>
            <a:rPr kumimoji="1" lang="ja-JP" altLang="en-US" sz="1100"/>
            <a:t>全断面圧縮</a:t>
          </a:r>
          <a:r>
            <a:rPr kumimoji="1" lang="en-US" altLang="ja-JP" sz="1100"/>
            <a:t>)</a:t>
          </a:r>
          <a:r>
            <a:rPr kumimoji="1" lang="ja-JP" altLang="en-US" sz="1100"/>
            <a:t>のとき：</a:t>
          </a:r>
          <a:r>
            <a:rPr kumimoji="1" lang="en-US" altLang="ja-JP" sz="1100"/>
            <a:t>x=h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20013-74CC-46B9-836F-4A0B726D53DD}">
  <dimension ref="B2:P16"/>
  <sheetViews>
    <sheetView tabSelected="1" zoomScale="80" zoomScaleNormal="80" workbookViewId="0"/>
  </sheetViews>
  <sheetFormatPr defaultRowHeight="13.5" x14ac:dyDescent="0.15"/>
  <cols>
    <col min="1" max="1" width="4" style="1" customWidth="1"/>
    <col min="2" max="2" width="21.125" style="1" customWidth="1"/>
    <col min="3" max="3" width="9" style="1"/>
    <col min="4" max="4" width="9.125" style="1" customWidth="1"/>
    <col min="5" max="5" width="3.125" style="1" customWidth="1"/>
    <col min="6" max="7" width="9" style="1"/>
    <col min="8" max="8" width="8.5" style="1" customWidth="1"/>
    <col min="9" max="9" width="9" style="1"/>
    <col min="10" max="10" width="3.625" style="1" customWidth="1"/>
    <col min="11" max="11" width="26" style="1" customWidth="1"/>
    <col min="12" max="12" width="3.875" style="1" customWidth="1"/>
    <col min="13" max="13" width="36.125" style="1" customWidth="1"/>
    <col min="14" max="14" width="17" style="1" customWidth="1"/>
    <col min="15" max="15" width="2.25" style="1" customWidth="1"/>
    <col min="16" max="16384" width="9" style="1"/>
  </cols>
  <sheetData>
    <row r="2" spans="2:16" x14ac:dyDescent="0.15">
      <c r="B2" s="1" t="s">
        <v>2</v>
      </c>
      <c r="C2" s="12">
        <v>15</v>
      </c>
      <c r="K2" s="13"/>
    </row>
    <row r="3" spans="2:16" x14ac:dyDescent="0.15">
      <c r="B3" s="2" t="s">
        <v>3</v>
      </c>
      <c r="C3" s="7">
        <v>42.83</v>
      </c>
      <c r="M3" s="1" t="s">
        <v>5</v>
      </c>
      <c r="N3" s="4">
        <f>IF(C4=0,"",$C$3/$C$4*100)</f>
        <v>189.51327433628319</v>
      </c>
    </row>
    <row r="4" spans="2:16" x14ac:dyDescent="0.15">
      <c r="B4" s="2" t="s">
        <v>4</v>
      </c>
      <c r="C4" s="7">
        <v>22.6</v>
      </c>
      <c r="F4" s="11" t="s">
        <v>21</v>
      </c>
      <c r="G4" s="11" t="s">
        <v>13</v>
      </c>
      <c r="H4" s="11" t="s">
        <v>14</v>
      </c>
      <c r="I4" s="11" t="s">
        <v>15</v>
      </c>
      <c r="K4" s="14" t="s">
        <v>23</v>
      </c>
      <c r="M4" s="1" t="s">
        <v>6</v>
      </c>
      <c r="N4" s="4">
        <f>F16/G16</f>
        <v>15.252596685082873</v>
      </c>
    </row>
    <row r="5" spans="2:16" x14ac:dyDescent="0.15">
      <c r="B5" s="2" t="s">
        <v>0</v>
      </c>
      <c r="C5" s="7">
        <v>30</v>
      </c>
      <c r="F5" s="1" t="s">
        <v>10</v>
      </c>
      <c r="G5" s="1" t="s">
        <v>11</v>
      </c>
      <c r="H5" s="1" t="s">
        <v>17</v>
      </c>
      <c r="I5" s="1" t="s">
        <v>20</v>
      </c>
      <c r="K5" s="1" t="s">
        <v>25</v>
      </c>
    </row>
    <row r="6" spans="2:16" x14ac:dyDescent="0.15">
      <c r="B6" s="2" t="s">
        <v>1</v>
      </c>
      <c r="C6" s="7">
        <v>100</v>
      </c>
      <c r="F6" s="1">
        <f>$C$5*$C$6*$C$5/2</f>
        <v>45000</v>
      </c>
      <c r="G6" s="1">
        <f>$C$5*C6</f>
        <v>3000</v>
      </c>
      <c r="H6" s="4">
        <f>IF($N$6&gt;$C$5,$C$6*$C$5*($N$6-$C$5/2),IF($N$6&lt;0,0,$C$6*$N$6^2/2))</f>
        <v>3779.0661532889599</v>
      </c>
      <c r="I6" s="4">
        <f>IF($N$6&gt;$C$5,$C$6*$C$5^3/12+$C$6*$C$5*($N$6-$C$5/2)^2,IF($N$6&lt;0,0,$C$6*$N$6^3/3))</f>
        <v>21902.842507039069</v>
      </c>
      <c r="J6" s="4"/>
      <c r="K6" s="17">
        <f>($C$4*($N$6-$N$4)+$C$3*100)/I16*$N$6*10</f>
        <v>4.4783528026684207</v>
      </c>
      <c r="M6" s="9" t="s">
        <v>16</v>
      </c>
      <c r="N6" s="18">
        <v>8.6937519556161256</v>
      </c>
      <c r="P6" s="1" t="s">
        <v>31</v>
      </c>
    </row>
    <row r="7" spans="2:16" x14ac:dyDescent="0.15">
      <c r="M7" s="1" t="s">
        <v>27</v>
      </c>
      <c r="N7" s="6">
        <f>H16</f>
        <v>438.73098581280919</v>
      </c>
    </row>
    <row r="8" spans="2:16" ht="27" x14ac:dyDescent="0.15">
      <c r="B8" s="1" t="s">
        <v>22</v>
      </c>
      <c r="C8" s="3" t="s">
        <v>7</v>
      </c>
      <c r="D8" s="3" t="s">
        <v>8</v>
      </c>
      <c r="E8" s="5"/>
      <c r="F8" s="5" t="s">
        <v>9</v>
      </c>
      <c r="G8" s="5" t="s">
        <v>12</v>
      </c>
      <c r="H8" s="5" t="s">
        <v>18</v>
      </c>
      <c r="I8" s="5" t="s">
        <v>19</v>
      </c>
      <c r="J8" s="5"/>
      <c r="K8" s="5" t="s">
        <v>24</v>
      </c>
      <c r="M8" s="1" t="s">
        <v>28</v>
      </c>
      <c r="N8" s="4">
        <f>I16*$C$4/($C$4*($N$6-$N$4)+$C$3*100)</f>
        <v>438.73004842283268</v>
      </c>
    </row>
    <row r="9" spans="2:16" x14ac:dyDescent="0.15">
      <c r="B9" s="10">
        <v>1</v>
      </c>
      <c r="C9" s="7">
        <v>9.9499999999999993</v>
      </c>
      <c r="D9" s="7">
        <v>6</v>
      </c>
      <c r="F9" s="1">
        <f>$C$2*C9*D9</f>
        <v>895.5</v>
      </c>
      <c r="G9" s="1">
        <f>$C$2*C9</f>
        <v>149.25</v>
      </c>
      <c r="H9" s="4">
        <f>G9*($N$6-D9)</f>
        <v>402.04247937570676</v>
      </c>
      <c r="I9" s="1">
        <f>G9*($N$6-D9)^2</f>
        <v>1083.0027150590658</v>
      </c>
      <c r="K9" s="17">
        <f>-($N$6-D9)/$N$6*$K$6*$C$2</f>
        <v>-20.814209472011683</v>
      </c>
      <c r="M9" s="1" t="s">
        <v>26</v>
      </c>
      <c r="N9" s="16">
        <f>ABS(N7-N8)</f>
        <v>9.3738997651371392E-4</v>
      </c>
      <c r="P9" s="1" t="s">
        <v>32</v>
      </c>
    </row>
    <row r="10" spans="2:16" x14ac:dyDescent="0.15">
      <c r="B10" s="10">
        <v>2</v>
      </c>
      <c r="C10" s="7">
        <v>16.3</v>
      </c>
      <c r="D10" s="7">
        <v>24</v>
      </c>
      <c r="F10" s="1">
        <f>$C$2*C10*D10</f>
        <v>5868</v>
      </c>
      <c r="G10" s="1">
        <f>$C$2*C10</f>
        <v>244.5</v>
      </c>
      <c r="H10" s="4">
        <f>G10*($N$6-D10)</f>
        <v>-3742.3776468518572</v>
      </c>
      <c r="I10" s="1">
        <f>G10*($N$6-D10)^2</f>
        <v>57281.760538472168</v>
      </c>
      <c r="K10" s="17">
        <f t="shared" ref="K10" si="0">-($N$6-D10)/$N$6*$K$6*$C$2</f>
        <v>118.2690382320322</v>
      </c>
    </row>
    <row r="11" spans="2:16" x14ac:dyDescent="0.15">
      <c r="B11" s="1">
        <v>3</v>
      </c>
      <c r="K11" s="15"/>
    </row>
    <row r="12" spans="2:16" x14ac:dyDescent="0.15">
      <c r="B12" s="1">
        <v>4</v>
      </c>
      <c r="K12" s="15"/>
    </row>
    <row r="13" spans="2:16" x14ac:dyDescent="0.15">
      <c r="B13" s="1">
        <v>5</v>
      </c>
      <c r="K13" s="15"/>
    </row>
    <row r="15" spans="2:16" x14ac:dyDescent="0.15">
      <c r="F15" s="1">
        <f>SUM(F9:F13)</f>
        <v>6763.5</v>
      </c>
      <c r="G15" s="1">
        <f>SUM(G9:G13)</f>
        <v>393.75</v>
      </c>
      <c r="H15" s="4">
        <f>SUM(H9:H13)</f>
        <v>-3340.3351674761507</v>
      </c>
      <c r="I15" s="4">
        <f>SUM(I9:I13)</f>
        <v>58364.763253531237</v>
      </c>
      <c r="J15" s="4"/>
      <c r="K15" s="4"/>
      <c r="M15" s="8"/>
    </row>
    <row r="16" spans="2:16" x14ac:dyDescent="0.15">
      <c r="F16" s="1">
        <f>F6+F15</f>
        <v>51763.5</v>
      </c>
      <c r="G16" s="1">
        <f>G6+G15</f>
        <v>3393.75</v>
      </c>
      <c r="H16" s="4">
        <f>H6+H15</f>
        <v>438.73098581280919</v>
      </c>
      <c r="I16" s="4">
        <f>I6+I15</f>
        <v>80267.60576057031</v>
      </c>
      <c r="J16" s="4"/>
      <c r="K16" s="4"/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BF44A-CDE0-454D-82AE-D5326755F36C}">
  <dimension ref="B2:C4"/>
  <sheetViews>
    <sheetView workbookViewId="0"/>
  </sheetViews>
  <sheetFormatPr defaultRowHeight="13.5" x14ac:dyDescent="0.15"/>
  <cols>
    <col min="1" max="2" width="9" style="1"/>
    <col min="3" max="3" width="36" style="1" customWidth="1"/>
    <col min="4" max="16384" width="9" style="1"/>
  </cols>
  <sheetData>
    <row r="2" spans="2:3" x14ac:dyDescent="0.15">
      <c r="B2" s="19" t="s">
        <v>29</v>
      </c>
    </row>
    <row r="4" spans="2:3" x14ac:dyDescent="0.15">
      <c r="B4" s="1">
        <v>231104</v>
      </c>
      <c r="C4" s="1" t="s">
        <v>30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JCCN-012</dc:creator>
  <cp:lastModifiedBy>matsubara</cp:lastModifiedBy>
  <dcterms:created xsi:type="dcterms:W3CDTF">2023-11-01T01:27:34Z</dcterms:created>
  <dcterms:modified xsi:type="dcterms:W3CDTF">2023-11-06T06:48:40Z</dcterms:modified>
</cp:coreProperties>
</file>